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<sst xmlns="http://schemas.openxmlformats.org/spreadsheetml/2006/main" count="59" uniqueCount="49">
  <si>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</si>
  <si>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</si>
  <si>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</si>
  <si>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</si>
  <si>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</si>
  <si>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</si>
  <si>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</si>
  <si>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</si>
  <si>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</si>
  <si>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</si>
  <si>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</si>
  <si>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</si>
  <si>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</si>
  <si>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</si>
  <si>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</si>
  <si>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</si>
  <si>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</si>
  <si>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DEDUCCIONES Sumas No Remunerativas</t>
  </si>
  <si>
    <t>DEDUCIONES</t>
  </si>
  <si>
    <t>CONCEPTOS NO REMUNERATIVOS</t>
  </si>
  <si>
    <t>Acuerdo Anteriores</t>
  </si>
  <si>
    <t xml:space="preserve">TOTAL </t>
  </si>
  <si>
    <t>ADICCIONALES</t>
  </si>
  <si>
    <t>IMPORTE NETO A COBRAR</t>
  </si>
  <si>
    <t>ANTIGÜEDAD</t>
  </si>
  <si>
    <t>Para la liquidación de las Sumas No Remunerativas se debe tener</t>
  </si>
  <si>
    <t>en cuenta la liquidación de lo liquidado enel mes de junio de 2010</t>
  </si>
  <si>
    <t>En este caso</t>
  </si>
  <si>
    <t>Basico</t>
  </si>
  <si>
    <t>Administrativo A</t>
  </si>
  <si>
    <t>SUMA FIJA</t>
  </si>
  <si>
    <t>Aumento del 15%</t>
  </si>
  <si>
    <t>Aumento del 7%</t>
  </si>
  <si>
    <t>Aumento del 5%</t>
  </si>
  <si>
    <t>Acuerdo Adiccional Junio/2010  27%</t>
  </si>
  <si>
    <t>Descuento 7;8;9,10 y11/2010</t>
  </si>
  <si>
    <t>Cáculo del Basico a Noviembre/2011</t>
  </si>
  <si>
    <t xml:space="preserve">Aumento Acuerdo Junio 2011 </t>
  </si>
  <si>
    <t>Mes</t>
  </si>
  <si>
    <t>Aumento del</t>
  </si>
  <si>
    <t>Aumento a</t>
  </si>
  <si>
    <t>Pagar</t>
  </si>
  <si>
    <t xml:space="preserve">Aumento Acuerdo Colectivo Junio 2011 </t>
  </si>
  <si>
    <t xml:space="preserve">VACACIONES </t>
  </si>
  <si>
    <t>FERIADO</t>
  </si>
  <si>
    <t>"Acuerdo Mayo de 2012"</t>
  </si>
  <si>
    <t>Presentismo</t>
  </si>
  <si>
    <t>Vacaciones</t>
  </si>
  <si>
    <t>LIQUIDACION HABERES  ENERO 2013 y VACACIONES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</si>
</sst>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  <numFmt numFmtId="168" formatCode="0.0"/>
  </numFmts>
  <fonts count="11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u val="single"/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8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9" fillId="0" borderId="0" xfId="18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7" fontId="0" fillId="0" borderId="0" xfId="0" applyNumberFormat="1" applyAlignment="1">
      <alignment/>
    </xf>
    <xf numFmtId="44" fontId="8" fillId="0" borderId="0" xfId="0" applyNumberFormat="1" applyFont="1" applyAlignment="1">
      <alignment/>
    </xf>
    <xf numFmtId="44" fontId="4" fillId="0" borderId="0" xfId="18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/>
    </xf>
    <xf numFmtId="0" fontId="4" fillId="0" borderId="0" xfId="18" applyNumberFormat="1" applyFont="1" applyFill="1" applyBorder="1" applyAlignment="1">
      <alignment horizontal="center"/>
    </xf>
    <xf numFmtId="44" fontId="4" fillId="0" borderId="0" xfId="18" applyFont="1" applyFill="1" applyBorder="1" applyAlignment="1">
      <alignment horizontal="center" vertical="center"/>
    </xf>
    <xf numFmtId="15" fontId="4" fillId="0" borderId="22" xfId="0" applyNumberFormat="1" applyFont="1" applyBorder="1" applyAlignment="1">
      <alignment horizontal="center" vertical="center"/>
    </xf>
    <xf numFmtId="44" fontId="4" fillId="0" borderId="23" xfId="18" applyFont="1" applyBorder="1" applyAlignment="1">
      <alignment/>
    </xf>
    <xf numFmtId="15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44" fontId="4" fillId="0" borderId="0" xfId="18" applyFont="1" applyFill="1" applyBorder="1" applyAlignment="1">
      <alignment/>
    </xf>
    <xf numFmtId="44" fontId="3" fillId="4" borderId="0" xfId="18" applyFont="1" applyFill="1" applyBorder="1" applyAlignment="1">
      <alignment horizontal="center"/>
    </xf>
    <xf numFmtId="15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4" fontId="4" fillId="0" borderId="0" xfId="18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15" fontId="4" fillId="0" borderId="0" xfId="0" applyNumberFormat="1" applyFont="1" applyBorder="1" applyAlignment="1">
      <alignment horizontal="left" vertical="center"/>
    </xf>
    <xf numFmtId="15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/>
    </xf>
    <xf numFmtId="15" fontId="3" fillId="0" borderId="0" xfId="0" applyNumberFormat="1" applyFont="1" applyBorder="1" applyAlignment="1">
      <alignment horizontal="center" vertical="center"/>
    </xf>
    <xf numFmtId="15" fontId="3" fillId="4" borderId="0" xfId="0" applyNumberFormat="1" applyFont="1" applyFill="1" applyBorder="1" applyAlignment="1">
      <alignment vertical="center"/>
    </xf>
    <xf numFmtId="2" fontId="4" fillId="4" borderId="0" xfId="0" applyNumberFormat="1" applyFont="1" applyFill="1" applyBorder="1" applyAlignment="1">
      <alignment/>
    </xf>
    <xf numFmtId="15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44" fontId="4" fillId="0" borderId="0" xfId="18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5" fontId="3" fillId="0" borderId="0" xfId="0" applyNumberFormat="1" applyFont="1" applyBorder="1" applyAlignment="1">
      <alignment vertical="center"/>
    </xf>
    <xf numFmtId="44" fontId="4" fillId="0" borderId="24" xfId="18" applyFont="1" applyFill="1" applyBorder="1" applyAlignment="1">
      <alignment horizontal="center"/>
    </xf>
    <xf numFmtId="44" fontId="5" fillId="0" borderId="0" xfId="0" applyNumberFormat="1" applyFont="1" applyBorder="1" applyAlignment="1">
      <alignment/>
    </xf>
    <xf numFmtId="44" fontId="6" fillId="0" borderId="0" xfId="0" applyNumberFormat="1" applyFont="1" applyAlignment="1">
      <alignment/>
    </xf>
    <xf numFmtId="44" fontId="4" fillId="0" borderId="0" xfId="18" applyFont="1" applyBorder="1" applyAlignment="1">
      <alignment/>
    </xf>
    <xf numFmtId="2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5" fontId="4" fillId="0" borderId="7" xfId="0" applyNumberFormat="1" applyFont="1" applyBorder="1" applyAlignment="1">
      <alignment horizontal="center" vertical="center"/>
    </xf>
    <xf numFmtId="15" fontId="4" fillId="0" borderId="25" xfId="0" applyNumberFormat="1" applyFont="1" applyBorder="1" applyAlignment="1">
      <alignment horizontal="center" vertical="center"/>
    </xf>
    <xf numFmtId="44" fontId="4" fillId="0" borderId="26" xfId="18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2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15" fontId="3" fillId="0" borderId="7" xfId="0" applyNumberFormat="1" applyFont="1" applyBorder="1" applyAlignment="1">
      <alignment horizontal="center" vertical="center"/>
    </xf>
    <xf numFmtId="15" fontId="3" fillId="0" borderId="2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93"/>
  <sheetViews>
    <sheetView tabSelected="1" workbookViewId="0" topLeftCell="A7">
      <selection activeCell="B11" sqref="B11"/>
    </sheetView>
  </sheetViews>
  <sheetFormatPr defaultColWidth="11.421875" defaultRowHeight="12.75"/>
  <cols>
    <col min="2" max="2" width="26.00390625" style="0" customWidth="1"/>
    <col min="3" max="3" width="12.00390625" style="0" customWidth="1"/>
  </cols>
  <sheetData>
    <row r="3" ht="13.5" thickBot="1"/>
    <row r="4" spans="2:5" ht="12.75">
      <c r="B4" s="125" t="s">
        <v>0</v>
      </c>
      <c r="C4" s="126"/>
      <c r="D4" s="126"/>
      <c r="E4" s="127"/>
    </row>
    <row r="5" spans="2:5" ht="12.75">
      <c r="B5" s="128" t="s">
        <v>1</v>
      </c>
      <c r="C5" s="129"/>
      <c r="D5" s="129"/>
      <c r="E5" s="130"/>
    </row>
    <row r="6" spans="2:5" ht="12.75">
      <c r="B6" s="128" t="s">
        <v>2</v>
      </c>
      <c r="C6" s="129"/>
      <c r="D6" s="129"/>
      <c r="E6" s="130"/>
    </row>
    <row r="7" spans="2:5" ht="12.75">
      <c r="B7" s="131" t="s">
        <v>3</v>
      </c>
      <c r="C7" s="132"/>
      <c r="D7" s="132"/>
      <c r="E7" s="133"/>
    </row>
    <row r="8" spans="2:5" ht="13.5" thickBot="1">
      <c r="B8" s="134"/>
      <c r="C8" s="135"/>
      <c r="D8" s="135"/>
      <c r="E8" s="136"/>
    </row>
    <row r="9" spans="2:5" ht="12.75">
      <c r="B9" s="114" t="s">
        <v>48</v>
      </c>
      <c r="C9" s="115"/>
      <c r="D9" s="115"/>
      <c r="E9" s="116"/>
    </row>
    <row r="10" spans="2:5" ht="13.5" thickBot="1">
      <c r="B10" s="117"/>
      <c r="C10" s="118"/>
      <c r="D10" s="118"/>
      <c r="E10" s="119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8" ht="12.75">
      <c r="B12" s="5" t="s">
        <v>7</v>
      </c>
      <c r="C12" s="6" t="str">
        <f>C62</f>
        <v>Administrativo A</v>
      </c>
      <c r="D12" s="50">
        <v>25</v>
      </c>
      <c r="E12" s="8">
        <f>((F12/2)/30)*D12</f>
        <v>2017.2083333333333</v>
      </c>
      <c r="F12" s="95">
        <v>4841.3</v>
      </c>
      <c r="G12" s="65">
        <f>(F12/30)*D12</f>
        <v>4034.4166666666665</v>
      </c>
      <c r="H12" s="59"/>
    </row>
    <row r="13" spans="2:8" ht="12.75">
      <c r="B13" s="5" t="s">
        <v>43</v>
      </c>
      <c r="C13" s="6"/>
      <c r="D13" s="50">
        <v>14</v>
      </c>
      <c r="E13" s="8">
        <f>((F12/2)/25)*D13</f>
        <v>1355.564</v>
      </c>
      <c r="F13" s="65"/>
      <c r="G13" s="65">
        <f>(F12/25)*D13</f>
        <v>2711.128</v>
      </c>
      <c r="H13" s="59"/>
    </row>
    <row r="14" spans="2:8" ht="12.75">
      <c r="B14" s="5" t="s">
        <v>44</v>
      </c>
      <c r="C14" s="6"/>
      <c r="D14" s="50">
        <v>1</v>
      </c>
      <c r="E14" s="8">
        <f>((F12/2)/30)*D14</f>
        <v>80.68833333333333</v>
      </c>
      <c r="F14" s="65"/>
      <c r="G14" s="8">
        <f>(F12/30)*D14</f>
        <v>161.37666666666667</v>
      </c>
      <c r="H14" s="59"/>
    </row>
    <row r="15" spans="2:12" ht="12.75">
      <c r="B15" s="5" t="s">
        <v>24</v>
      </c>
      <c r="C15" s="6">
        <v>3</v>
      </c>
      <c r="D15" s="50"/>
      <c r="E15" s="8">
        <f>(E12+E13)*(C15*1)%</f>
        <v>101.18316999999999</v>
      </c>
      <c r="F15" s="53"/>
      <c r="G15" s="65">
        <f>(G12+G13+G14)*(C15*1)%</f>
        <v>207.20764</v>
      </c>
      <c r="I15" s="66"/>
      <c r="J15" s="67"/>
      <c r="K15" s="65"/>
      <c r="L15" s="65"/>
    </row>
    <row r="16" spans="2:12" ht="12.75">
      <c r="B16" s="5" t="s">
        <v>8</v>
      </c>
      <c r="C16" s="9" t="s">
        <v>5</v>
      </c>
      <c r="D16" s="7"/>
      <c r="E16" s="8">
        <f>(E12+E13+E15)*0.0833</f>
        <v>289.38049342766664</v>
      </c>
      <c r="F16" s="53"/>
      <c r="G16" s="96">
        <f>SUM(G12:G15)*0.0833</f>
        <v>592.6069434786666</v>
      </c>
      <c r="H16" s="59"/>
      <c r="I16" s="66"/>
      <c r="J16" s="68"/>
      <c r="K16" s="65"/>
      <c r="L16" s="65"/>
    </row>
    <row r="17" spans="2:12" ht="12.75">
      <c r="B17" s="10"/>
      <c r="C17" s="11"/>
      <c r="D17" s="12"/>
      <c r="E17" s="8"/>
      <c r="F17" s="51"/>
      <c r="I17" s="66"/>
      <c r="J17" s="68"/>
      <c r="K17" s="69"/>
      <c r="L17" s="70"/>
    </row>
    <row r="18" spans="2:12" ht="12.75">
      <c r="B18" s="13"/>
      <c r="C18" s="6" t="s">
        <v>5</v>
      </c>
      <c r="D18" s="7" t="s">
        <v>5</v>
      </c>
      <c r="E18" s="14"/>
      <c r="F18" s="51"/>
      <c r="I18" s="66"/>
      <c r="J18" s="68"/>
      <c r="K18" s="65"/>
      <c r="L18" s="70"/>
    </row>
    <row r="19" spans="2:12" ht="12.75">
      <c r="B19" s="120" t="s">
        <v>9</v>
      </c>
      <c r="C19" s="15"/>
      <c r="D19" s="16"/>
      <c r="E19" s="121">
        <f>SUM(E12:E18)</f>
        <v>3844.0243300943334</v>
      </c>
      <c r="F19" s="51"/>
      <c r="I19" s="73"/>
      <c r="J19" s="68"/>
      <c r="K19" s="65"/>
      <c r="L19" s="65"/>
    </row>
    <row r="20" spans="2:12" ht="13.5" thickBot="1">
      <c r="B20" s="120"/>
      <c r="C20" s="15"/>
      <c r="D20" s="16"/>
      <c r="E20" s="122"/>
      <c r="F20" s="52"/>
      <c r="G20" s="97">
        <f>SUM(G12:G19)</f>
        <v>7706.735916812</v>
      </c>
      <c r="I20" s="66"/>
      <c r="J20" s="74"/>
      <c r="K20" s="65"/>
      <c r="L20" s="65"/>
    </row>
    <row r="21" spans="2:12" ht="12.75">
      <c r="B21" s="17" t="s">
        <v>10</v>
      </c>
      <c r="C21" s="18" t="s">
        <v>11</v>
      </c>
      <c r="D21" s="19" t="s">
        <v>6</v>
      </c>
      <c r="E21" s="20"/>
      <c r="I21" s="73"/>
      <c r="J21" s="67"/>
      <c r="K21" s="65"/>
      <c r="L21" s="92"/>
    </row>
    <row r="22" spans="2:12" ht="12.75">
      <c r="B22" s="21" t="s">
        <v>12</v>
      </c>
      <c r="C22" s="22">
        <v>11</v>
      </c>
      <c r="D22" s="23">
        <f>E19*11%</f>
        <v>422.8426763103767</v>
      </c>
      <c r="E22" s="24"/>
      <c r="I22" s="94"/>
      <c r="J22" s="75"/>
      <c r="K22" s="76"/>
      <c r="L22" s="92"/>
    </row>
    <row r="23" spans="2:12" ht="12.75">
      <c r="B23" s="21" t="s">
        <v>13</v>
      </c>
      <c r="C23" s="6">
        <v>3</v>
      </c>
      <c r="D23" s="23">
        <f>G20*3%</f>
        <v>231.20207750436</v>
      </c>
      <c r="E23" s="24"/>
      <c r="I23" s="94"/>
      <c r="J23" s="93"/>
      <c r="K23" s="93"/>
      <c r="L23" s="92"/>
    </row>
    <row r="24" spans="2:12" ht="12.75">
      <c r="B24" s="21" t="s">
        <v>14</v>
      </c>
      <c r="C24" s="25">
        <v>3</v>
      </c>
      <c r="D24" s="23">
        <f>E19*3%</f>
        <v>115.32072990283</v>
      </c>
      <c r="E24" s="26"/>
      <c r="I24" s="94"/>
      <c r="J24" s="93"/>
      <c r="K24" s="93"/>
      <c r="L24" s="92"/>
    </row>
    <row r="25" spans="2:12" ht="12.75">
      <c r="B25" s="21" t="s">
        <v>15</v>
      </c>
      <c r="C25" s="25">
        <v>2</v>
      </c>
      <c r="D25" s="23">
        <f>E19*2%</f>
        <v>76.88048660188667</v>
      </c>
      <c r="E25" s="26"/>
      <c r="I25" s="94"/>
      <c r="J25" s="93"/>
      <c r="K25" s="93"/>
      <c r="L25" s="76"/>
    </row>
    <row r="26" spans="2:12" ht="12.75">
      <c r="B26" s="21" t="s">
        <v>16</v>
      </c>
      <c r="C26" s="27">
        <v>0.5</v>
      </c>
      <c r="D26" s="23">
        <f>E19*0.5%</f>
        <v>19.22012165047167</v>
      </c>
      <c r="E26" s="26"/>
      <c r="I26" s="78"/>
      <c r="J26" s="67"/>
      <c r="K26" s="76"/>
      <c r="L26" s="76"/>
    </row>
    <row r="27" spans="2:12" ht="12.75">
      <c r="B27" s="21"/>
      <c r="C27" s="27"/>
      <c r="D27" s="23"/>
      <c r="E27" s="26"/>
      <c r="I27" s="78"/>
      <c r="J27" s="80"/>
      <c r="K27" s="76"/>
      <c r="L27" s="81"/>
    </row>
    <row r="28" spans="2:12" ht="12.75">
      <c r="B28" s="21"/>
      <c r="C28" s="27"/>
      <c r="D28" s="23"/>
      <c r="E28" s="26"/>
      <c r="I28" s="78"/>
      <c r="J28" s="80"/>
      <c r="K28" s="76"/>
      <c r="L28" s="81"/>
    </row>
    <row r="29" spans="2:12" ht="12.75">
      <c r="B29" s="123" t="s">
        <v>17</v>
      </c>
      <c r="C29" s="124"/>
      <c r="D29" s="23"/>
      <c r="E29" s="26"/>
      <c r="I29" s="78"/>
      <c r="J29" s="82"/>
      <c r="K29" s="81"/>
      <c r="L29" s="81"/>
    </row>
    <row r="30" spans="2:12" ht="12.75">
      <c r="B30" s="21" t="s">
        <v>14</v>
      </c>
      <c r="C30" s="25">
        <v>3</v>
      </c>
      <c r="D30" s="23">
        <f>(G20+G47)*3%</f>
        <v>252.632026015854</v>
      </c>
      <c r="E30" s="26"/>
      <c r="I30" s="83"/>
      <c r="J30" s="80"/>
      <c r="K30" s="81"/>
      <c r="L30" s="81"/>
    </row>
    <row r="31" spans="2:12" ht="12.75">
      <c r="B31" s="21" t="s">
        <v>15</v>
      </c>
      <c r="C31" s="25">
        <v>2</v>
      </c>
      <c r="D31" s="23">
        <f>D47*2%</f>
        <v>6.765508574099999</v>
      </c>
      <c r="E31" s="26"/>
      <c r="I31" s="84"/>
      <c r="J31" s="85"/>
      <c r="K31" s="81"/>
      <c r="L31" s="81"/>
    </row>
    <row r="32" spans="2:12" ht="12.75">
      <c r="B32" s="21" t="s">
        <v>16</v>
      </c>
      <c r="C32" s="27">
        <v>0.5</v>
      </c>
      <c r="D32" s="23">
        <f>D47*0.5%</f>
        <v>1.6913771435249998</v>
      </c>
      <c r="E32" s="26"/>
      <c r="I32" s="94"/>
      <c r="J32" s="99"/>
      <c r="K32" s="98"/>
      <c r="L32" s="81"/>
    </row>
    <row r="33" spans="2:12" ht="12.75">
      <c r="B33" s="21"/>
      <c r="C33" s="25"/>
      <c r="D33" s="29"/>
      <c r="E33" s="26"/>
      <c r="I33" s="94"/>
      <c r="J33" s="99"/>
      <c r="K33" s="98"/>
      <c r="L33" s="81"/>
    </row>
    <row r="34" spans="2:12" ht="12.75">
      <c r="B34" s="30"/>
      <c r="C34" s="31"/>
      <c r="D34" s="29"/>
      <c r="E34" s="26"/>
      <c r="I34" s="94"/>
      <c r="J34" s="99"/>
      <c r="K34" s="98"/>
      <c r="L34" s="81"/>
    </row>
    <row r="35" spans="2:12" ht="13.5" thickBot="1">
      <c r="B35" s="28" t="s">
        <v>18</v>
      </c>
      <c r="C35" s="31"/>
      <c r="D35" s="26"/>
      <c r="E35" s="32">
        <f>SUM(D22:D34)</f>
        <v>1126.555003703404</v>
      </c>
      <c r="I35" s="90"/>
      <c r="J35" s="91"/>
      <c r="K35" s="81"/>
      <c r="L35" s="81"/>
    </row>
    <row r="36" spans="2:12" ht="12.75">
      <c r="B36" s="33"/>
      <c r="C36" s="34"/>
      <c r="D36" s="19" t="s">
        <v>6</v>
      </c>
      <c r="E36" s="35">
        <f>E19-E35</f>
        <v>2717.4693263909294</v>
      </c>
      <c r="I36" s="90"/>
      <c r="J36" s="80"/>
      <c r="K36" s="81"/>
      <c r="L36" s="81"/>
    </row>
    <row r="37" spans="2:12" ht="12.75">
      <c r="B37" s="103" t="s">
        <v>19</v>
      </c>
      <c r="C37" s="104"/>
      <c r="D37" s="71"/>
      <c r="E37" s="26"/>
      <c r="I37" s="90"/>
      <c r="J37" s="80"/>
      <c r="K37" s="81"/>
      <c r="L37" s="81"/>
    </row>
    <row r="38" spans="2:12" ht="12.75">
      <c r="B38" s="21"/>
      <c r="C38" s="31"/>
      <c r="D38" s="29"/>
      <c r="E38" s="26"/>
      <c r="I38" s="66"/>
      <c r="J38" s="79"/>
      <c r="K38" s="81"/>
      <c r="L38" s="81"/>
    </row>
    <row r="39" spans="2:5" ht="12.75">
      <c r="B39" s="21"/>
      <c r="C39" s="31"/>
      <c r="D39" s="29"/>
      <c r="E39" s="26"/>
    </row>
    <row r="40" spans="2:7" ht="12.75">
      <c r="B40" s="38" t="s">
        <v>45</v>
      </c>
      <c r="C40" s="31">
        <f>((F12/2)*9%)/30*D12</f>
        <v>181.54874999999998</v>
      </c>
      <c r="D40" s="29"/>
      <c r="E40" s="26"/>
      <c r="G40" s="85">
        <f>(F12*9%)/30*D12</f>
        <v>363.09749999999997</v>
      </c>
    </row>
    <row r="41" spans="2:7" ht="12.75">
      <c r="B41" s="38" t="s">
        <v>46</v>
      </c>
      <c r="C41" s="31">
        <f>(C40+C42+C43)*0.0833</f>
        <v>26.011578704999998</v>
      </c>
      <c r="D41" s="29"/>
      <c r="E41" s="26"/>
      <c r="G41" s="100">
        <f>(G40+G42+G43)*0.08333</f>
        <v>54.9465570498</v>
      </c>
    </row>
    <row r="42" spans="2:12" ht="12.75">
      <c r="B42" s="5" t="s">
        <v>44</v>
      </c>
      <c r="C42" s="31">
        <f>((F12/2)*9%)/25*D14</f>
        <v>8.71434</v>
      </c>
      <c r="D42" s="29"/>
      <c r="E42" s="26"/>
      <c r="G42" s="85">
        <f>(F12*9%)/25*C15</f>
        <v>52.28604</v>
      </c>
      <c r="I42" s="66"/>
      <c r="J42" s="67"/>
      <c r="K42" s="65"/>
      <c r="L42" s="65"/>
    </row>
    <row r="43" spans="2:12" ht="12.75">
      <c r="B43" s="21" t="s">
        <v>47</v>
      </c>
      <c r="C43" s="31">
        <f>((F12/2)*9%)/25*D13</f>
        <v>122.00076</v>
      </c>
      <c r="D43" s="29"/>
      <c r="E43" s="26"/>
      <c r="G43" s="85">
        <f>(F12*9%)/25*D13</f>
        <v>244.00152</v>
      </c>
      <c r="I43" s="66"/>
      <c r="J43" s="68"/>
      <c r="K43" s="65"/>
      <c r="L43" s="65"/>
    </row>
    <row r="44" spans="2:12" ht="12.75">
      <c r="B44" s="21"/>
      <c r="C44" s="31"/>
      <c r="D44" s="29"/>
      <c r="E44" s="26"/>
      <c r="I44" s="66"/>
      <c r="J44" s="68"/>
      <c r="K44" s="69"/>
      <c r="L44" s="70"/>
    </row>
    <row r="45" spans="2:12" ht="12.75">
      <c r="B45" s="21"/>
      <c r="C45" s="31"/>
      <c r="D45" s="29"/>
      <c r="E45" s="26"/>
      <c r="I45" s="66"/>
      <c r="J45" s="68"/>
      <c r="K45" s="65"/>
      <c r="L45" s="70"/>
    </row>
    <row r="46" spans="2:12" ht="12.75">
      <c r="B46" s="21"/>
      <c r="C46" s="36"/>
      <c r="D46" s="29"/>
      <c r="E46" s="26"/>
      <c r="I46" s="73"/>
      <c r="J46" s="68"/>
      <c r="K46" s="65"/>
      <c r="L46" s="65"/>
    </row>
    <row r="47" spans="2:12" ht="12.75">
      <c r="B47" s="21"/>
      <c r="C47" s="37"/>
      <c r="D47" s="29">
        <f>SUM(C38:C46)</f>
        <v>338.27542870499997</v>
      </c>
      <c r="E47" s="26">
        <f>D47</f>
        <v>338.27542870499997</v>
      </c>
      <c r="G47" s="101">
        <f>SUM(G40:G46)</f>
        <v>714.3316170498</v>
      </c>
      <c r="I47" s="66"/>
      <c r="J47" s="74"/>
      <c r="K47" s="65"/>
      <c r="L47" s="65"/>
    </row>
    <row r="48" spans="2:12" ht="12.75">
      <c r="B48" s="38"/>
      <c r="C48" s="39"/>
      <c r="D48" s="29"/>
      <c r="E48" s="26"/>
      <c r="I48" s="73"/>
      <c r="J48" s="67"/>
      <c r="K48" s="65"/>
      <c r="L48" s="92"/>
    </row>
    <row r="49" spans="2:12" ht="12.75">
      <c r="B49" s="40" t="s">
        <v>21</v>
      </c>
      <c r="C49" s="41"/>
      <c r="D49" s="42"/>
      <c r="E49" s="72">
        <f>SUM(E37:E48)</f>
        <v>338.27542870499997</v>
      </c>
      <c r="I49" s="94"/>
      <c r="J49" s="75"/>
      <c r="K49" s="76"/>
      <c r="L49" s="92"/>
    </row>
    <row r="50" spans="2:12" ht="12.75">
      <c r="B50" s="43" t="s">
        <v>22</v>
      </c>
      <c r="C50" s="44"/>
      <c r="D50" s="45"/>
      <c r="E50" s="105"/>
      <c r="I50" s="94"/>
      <c r="J50" s="93"/>
      <c r="K50" s="93"/>
      <c r="L50" s="92"/>
    </row>
    <row r="51" spans="2:12" ht="12.75">
      <c r="B51" s="106" t="s">
        <v>23</v>
      </c>
      <c r="C51" s="107"/>
      <c r="D51" s="108"/>
      <c r="E51" s="112">
        <f>E19-E35+E49</f>
        <v>3055.7447550959296</v>
      </c>
      <c r="I51" s="94"/>
      <c r="J51" s="93"/>
      <c r="K51" s="93"/>
      <c r="L51" s="92"/>
    </row>
    <row r="52" spans="2:12" ht="13.5" thickBot="1">
      <c r="B52" s="109"/>
      <c r="C52" s="110"/>
      <c r="D52" s="111"/>
      <c r="E52" s="113"/>
      <c r="I52" s="94"/>
      <c r="J52" s="93"/>
      <c r="K52" s="93"/>
      <c r="L52" s="92"/>
    </row>
    <row r="53" spans="2:12" ht="13.5" thickBot="1">
      <c r="B53" s="46"/>
      <c r="C53" s="47"/>
      <c r="D53" s="47"/>
      <c r="E53" s="48"/>
      <c r="I53" s="78"/>
      <c r="J53" s="67"/>
      <c r="K53" s="76"/>
      <c r="L53" s="76"/>
    </row>
    <row r="54" spans="2:12" ht="12.75">
      <c r="B54" s="49"/>
      <c r="C54" s="49"/>
      <c r="D54" s="49"/>
      <c r="E54" s="49"/>
      <c r="I54" s="78"/>
      <c r="J54" s="80"/>
      <c r="K54" s="76"/>
      <c r="L54" s="81"/>
    </row>
    <row r="55" spans="9:12" ht="12.75">
      <c r="I55" s="78"/>
      <c r="J55" s="80"/>
      <c r="K55" s="76"/>
      <c r="L55" s="81"/>
    </row>
    <row r="56" spans="2:12" ht="12.75">
      <c r="B56" t="s">
        <v>25</v>
      </c>
      <c r="I56" s="78"/>
      <c r="J56" s="82"/>
      <c r="K56" s="81"/>
      <c r="L56" s="81"/>
    </row>
    <row r="57" spans="9:12" ht="12.75">
      <c r="I57" s="83"/>
      <c r="J57" s="80"/>
      <c r="K57" s="81"/>
      <c r="L57" s="81"/>
    </row>
    <row r="58" spans="2:12" ht="12.75">
      <c r="B58" t="s">
        <v>26</v>
      </c>
      <c r="I58" s="84"/>
      <c r="J58" s="85"/>
      <c r="K58" s="81"/>
      <c r="L58" s="81"/>
    </row>
    <row r="59" spans="9:12" ht="12.75">
      <c r="I59" s="86"/>
      <c r="J59" s="85"/>
      <c r="K59" s="81"/>
      <c r="L59" s="81"/>
    </row>
    <row r="60" spans="2:12" ht="12.75">
      <c r="B60" t="s">
        <v>27</v>
      </c>
      <c r="I60" s="87"/>
      <c r="J60" s="88"/>
      <c r="K60" s="77"/>
      <c r="L60" s="81"/>
    </row>
    <row r="61" spans="9:12" ht="12.75">
      <c r="I61" s="89"/>
      <c r="J61" s="89"/>
      <c r="K61" s="89"/>
      <c r="L61" s="81"/>
    </row>
    <row r="62" spans="2:12" ht="12.75">
      <c r="B62" s="55" t="s">
        <v>28</v>
      </c>
      <c r="C62" t="s">
        <v>29</v>
      </c>
      <c r="E62">
        <v>1319.56</v>
      </c>
      <c r="I62" s="90"/>
      <c r="J62" s="91"/>
      <c r="K62" s="81"/>
      <c r="L62" s="81"/>
    </row>
    <row r="63" spans="9:12" ht="12.75">
      <c r="I63" s="90"/>
      <c r="J63" s="80"/>
      <c r="K63" s="81"/>
      <c r="L63" s="81"/>
    </row>
    <row r="64" spans="2:12" ht="12.75">
      <c r="B64" s="55" t="s">
        <v>20</v>
      </c>
      <c r="D64" s="54">
        <f>(E62*20%)+100+100+300</f>
        <v>763.912</v>
      </c>
      <c r="E64" s="54"/>
      <c r="I64" s="90"/>
      <c r="J64" s="80"/>
      <c r="K64" s="81"/>
      <c r="L64" s="81"/>
    </row>
    <row r="65" spans="2:12" ht="12.75">
      <c r="B65" s="57" t="s">
        <v>35</v>
      </c>
      <c r="C65" s="54">
        <f>D64/12</f>
        <v>63.659333333333336</v>
      </c>
      <c r="D65" s="54">
        <f>D64-C65-C65-C65-C65-C65-C65-C65-C65-C65-C65-C65-C65</f>
        <v>1.7053025658242404E-13</v>
      </c>
      <c r="E65" s="54">
        <f>D65</f>
        <v>1.7053025658242404E-13</v>
      </c>
      <c r="I65" s="66"/>
      <c r="J65" s="79"/>
      <c r="K65" s="81"/>
      <c r="L65" s="81"/>
    </row>
    <row r="68" spans="2:5" ht="12.75">
      <c r="B68" s="56" t="s">
        <v>31</v>
      </c>
      <c r="E68" s="54">
        <f>((E62+D64+75)*15%)</f>
        <v>323.77079999999995</v>
      </c>
    </row>
    <row r="70" spans="2:5" ht="12.75">
      <c r="B70" s="56" t="s">
        <v>32</v>
      </c>
      <c r="E70" s="54">
        <f>((E62+D64+E68+75)*7%)</f>
        <v>173.756996</v>
      </c>
    </row>
    <row r="71" spans="2:5" ht="12.75">
      <c r="B71" s="56"/>
      <c r="E71" s="54"/>
    </row>
    <row r="72" spans="2:5" ht="12.75">
      <c r="B72" s="56" t="s">
        <v>33</v>
      </c>
      <c r="E72" s="54">
        <f>((E62+D64+E68+E70+75)*5%)</f>
        <v>132.7999898</v>
      </c>
    </row>
    <row r="74" spans="2:5" ht="12.75">
      <c r="B74" t="s">
        <v>30</v>
      </c>
      <c r="E74" s="54">
        <v>75</v>
      </c>
    </row>
    <row r="76" spans="2:5" ht="12.75">
      <c r="B76" s="55" t="s">
        <v>34</v>
      </c>
      <c r="E76" s="58">
        <f>SUM(E68:E74)</f>
        <v>705.3277857999999</v>
      </c>
    </row>
    <row r="77" spans="3:5" ht="12.75">
      <c r="C77" s="54">
        <f>E76/5</f>
        <v>141.06555715999997</v>
      </c>
      <c r="D77" s="54">
        <f>E76-C77-C77-C77-C77-C77</f>
        <v>0</v>
      </c>
      <c r="E77" s="54">
        <f>D77</f>
        <v>0</v>
      </c>
    </row>
    <row r="79" spans="2:5" ht="12.75">
      <c r="B79" t="s">
        <v>42</v>
      </c>
      <c r="E79" s="64">
        <f>F93</f>
        <v>913.33425255876</v>
      </c>
    </row>
    <row r="85" spans="2:5" ht="12.75">
      <c r="B85" s="102" t="s">
        <v>36</v>
      </c>
      <c r="C85" s="102"/>
      <c r="E85" s="60">
        <f>E62+D64+C77+C77+C77+C77+C77+((C65*17.4%)*12)+(C77*17.4%)*5</f>
        <v>3044.4475085292</v>
      </c>
    </row>
    <row r="87" spans="2:6" ht="12.75">
      <c r="B87" t="s">
        <v>37</v>
      </c>
      <c r="E87" s="61" t="s">
        <v>39</v>
      </c>
      <c r="F87" s="61" t="s">
        <v>40</v>
      </c>
    </row>
    <row r="88" spans="5:6" ht="12.75">
      <c r="E88" s="61" t="s">
        <v>38</v>
      </c>
      <c r="F88" s="61" t="s">
        <v>41</v>
      </c>
    </row>
    <row r="89" spans="3:6" ht="12.75">
      <c r="C89" s="63">
        <v>40664</v>
      </c>
      <c r="D89" s="62">
        <v>0.15</v>
      </c>
      <c r="E89" s="59">
        <f>E85*15%</f>
        <v>456.66712627938</v>
      </c>
      <c r="F89" s="59">
        <f>E85*15%</f>
        <v>456.66712627938</v>
      </c>
    </row>
    <row r="90" ht="12.75">
      <c r="D90" s="61"/>
    </row>
    <row r="91" spans="3:6" ht="12.75">
      <c r="C91" s="63">
        <v>40787</v>
      </c>
      <c r="D91" s="62">
        <v>0.08</v>
      </c>
      <c r="E91" s="59">
        <f>E85*8%</f>
        <v>243.555800682336</v>
      </c>
      <c r="F91" s="59">
        <f>E89+(E85*8%)</f>
        <v>700.222926961716</v>
      </c>
    </row>
    <row r="92" ht="12.75">
      <c r="D92" s="61"/>
    </row>
    <row r="93" spans="3:6" ht="12.75">
      <c r="C93" s="63">
        <v>40878</v>
      </c>
      <c r="D93" s="62">
        <v>0.07</v>
      </c>
      <c r="E93" s="59">
        <f>E85*7%</f>
        <v>213.11132559704404</v>
      </c>
      <c r="F93" s="59">
        <f>E89+E91+(E85*7%)</f>
        <v>913.33425255876</v>
      </c>
    </row>
  </sheetData>
  <mergeCells count="13">
    <mergeCell ref="B4:E4"/>
    <mergeCell ref="B5:E5"/>
    <mergeCell ref="B6:E6"/>
    <mergeCell ref="B7:E8"/>
    <mergeCell ref="B9:E10"/>
    <mergeCell ref="B19:B20"/>
    <mergeCell ref="E19:E20"/>
    <mergeCell ref="B29:C29"/>
    <mergeCell ref="B85:C85"/>
    <mergeCell ref="B37:D37"/>
    <mergeCell ref="E49:E50"/>
    <mergeCell ref="B51:D52"/>
    <mergeCell ref="E51:E52"/>
  </mergeCells>
  <hyperlinks>
    <hyperlink ref="B7" r:id="rId1" display="WWW.ECONOBLOG.COM.AR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2013-01-23T18:52:28Z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